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<sst xmlns="http://schemas.openxmlformats.org/spreadsheetml/2006/main" count="1829" uniqueCount="278">
  <si>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</si>
  <si>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</si>
  <si>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</si>
  <si>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</si>
  <si>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</si>
  <si>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</si>
  <si>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</si>
  <si>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</si>
  <si>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</si>
  <si>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</si>
  <si>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</si>
  <si>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</si>
  <si>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</si>
  <si>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</si>
  <si>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</si>
  <si>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</si>
  <si>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</si>
  <si>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</si>
  <si>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</si>
  <si>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</si>
  <si>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</si>
  <si>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</si>
  <si>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</si>
  <si>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</si>
  <si>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</si>
  <si>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</si>
  <si>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</si>
  <si>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</si>
  <si>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</si>
  <si>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</si>
  <si>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</si>
  <si>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</si>
  <si>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</si>
  <si>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</si>
  <si>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</si>
  <si>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</si>
  <si>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</si>
  <si>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</si>
  <si>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</si>
  <si>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</si>
  <si>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</si>
  <si>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</si>
  <si>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</si>
  <si>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</si>
  <si>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</si>
  <si>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</si>
  <si>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</si>
  <si>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</si>
  <si>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</si>
  <si>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</si>
  <si>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</si>
  <si>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</si>
  <si>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</si>
  <si>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</si>
  <si>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</si>
  <si>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</si>
  <si>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</si>
  <si>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</si>
  <si>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</si>
  <si>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</si>
  <si>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</si>
  <si>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</si>
  <si>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</si>
  <si>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</si>
  <si>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</si>
  <si>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</si>
  <si>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</si>
  <si>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</si>
  <si>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</si>
  <si>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</si>
  <si>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</si>
  <si>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</si>
  <si>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</si>
  <si>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</si>
  <si>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</si>
  <si>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</si>
  <si>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</si>
  <si>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</si>
  <si>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</si>
  <si>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</si>
  <si>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</si>
  <si>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</si>
  <si>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</si>
  <si>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</si>
  <si>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</si>
  <si>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</si>
  <si>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</si>
  <si>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</si>
  <si>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</si>
  <si>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</si>
  <si>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</si>
  <si>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</si>
  <si>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</si>
  <si>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</si>
  <si>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</si>
  <si>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</si>
  <si>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</si>
  <si>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</si>
  <si>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</si>
  <si>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</si>
  <si>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</si>
  <si>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</si>
  <si>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</si>
  <si>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</si>
  <si>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</si>
  <si>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</si>
  <si>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</si>
  <si>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</si>
  <si>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</si>
  <si>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</si>
  <si>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</si>
  <si>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</si>
  <si>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</si>
  <si>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</si>
  <si>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</si>
  <si>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</si>
  <si>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</si>
  <si>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</si>
  <si>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</si>
  <si>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</si>
  <si>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</si>
  <si>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</si>
  <si>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</si>
  <si>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</si>
  <si>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</si>
  <si>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</si>
  <si>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</si>
  <si>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</si>
  <si>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</si>
  <si>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</si>
  <si>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</si>
  <si>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</si>
  <si>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</si>
  <si>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</si>
  <si>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</si>
  <si>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</si>
  <si>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</si>
  <si>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</si>
  <si>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</si>
  <si>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</si>
  <si>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</si>
  <si>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</si>
  <si>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</si>
  <si>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</si>
  <si>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</si>
  <si>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</si>
  <si>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</si>
  <si>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</si>
  <si>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</si>
  <si>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</si>
  <si>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</si>
  <si>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</si>
  <si>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</si>
  <si>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</si>
  <si>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</si>
  <si>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</si>
  <si>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</si>
  <si>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</si>
  <si>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</si>
  <si>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</si>
  <si>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</si>
  <si>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</si>
  <si>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</si>
  <si>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</si>
  <si>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</si>
  <si>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</si>
  <si>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</si>
  <si>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</si>
  <si>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</si>
  <si>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</si>
  <si>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</si>
  <si>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</si>
  <si>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</si>
  <si>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</si>
  <si>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</si>
  <si>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</si>
  <si>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</si>
  <si>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</si>
  <si>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</si>
  <si>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</si>
  <si>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</si>
  <si>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</si>
  <si>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</si>
  <si>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</si>
  <si>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</si>
  <si>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</si>
  <si>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</si>
  <si>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</si>
  <si>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</si>
  <si>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</si>
  <si>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</si>
  <si>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</si>
  <si>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</si>
  <si>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</si>
  <si>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</si>
  <si>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</si>
  <si>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</si>
  <si>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</si>
  <si>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</si>
  <si>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</si>
  <si>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</si>
  <si>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</si>
  <si>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</si>
  <si>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</si>
  <si>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</si>
  <si>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</si>
  <si>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</si>
  <si>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</si>
  <si>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</si>
  <si>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</si>
  <si>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</si>
  <si>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</si>
  <si>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</si>
  <si>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</si>
  <si>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</si>
  <si>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</si>
  <si>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</si>
  <si>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</si>
  <si>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</si>
  <si>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</si>
  <si>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</si>
  <si>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</si>
  <si>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</si>
  <si>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</si>
  <si>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</si>
  <si>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</si>
  <si>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</si>
  <si>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</si>
  <si>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</si>
  <si>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</si>
  <si>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</si>
  <si>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</si>
  <si>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</si>
  <si>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</si>
  <si>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</si>
  <si>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</si>
  <si>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</si>
  <si>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</si>
  <si>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</si>
  <si>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</si>
  <si>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</si>
  <si>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</si>
  <si>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</si>
  <si>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</si>
  <si>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</si>
  <si>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</si>
  <si>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</si>
  <si>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</si>
  <si>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</si>
  <si>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</si>
  <si>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</si>
  <si>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</si>
  <si>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</si>
  <si>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</si>
  <si>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</si>
  <si>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</si>
  <si>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</si>
  <si>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</si>
  <si>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</si>
  <si>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</si>
  <si>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</si>
  <si>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</si>
  <si>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</si>
  <si>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</si>
  <si>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</si>
  <si>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</si>
  <si>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</si>
  <si>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</si>
  <si>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</si>
  <si>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</si>
  <si>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</si>
  <si>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</si>
  <si>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</si>
  <si>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</si>
  <si>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</si>
  <si>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</si>
  <si>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</si>
  <si>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17.09.14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</si>
</sst>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8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8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9"/>
      <sheetName val="депозит"/>
      <sheetName val="залишки  (2)"/>
      <sheetName val="надх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жовтень"/>
      <sheetName val="листопад"/>
      <sheetName val="Лист1"/>
      <sheetName val="грудень"/>
    </sheetNames>
    <sheetDataSet>
      <sheetData sheetId="12">
        <row r="8">
          <cell r="G8">
            <v>0</v>
          </cell>
        </row>
        <row r="9">
          <cell r="G9">
            <v>9020596.530000001</v>
          </cell>
        </row>
      </sheetData>
      <sheetData sheetId="13">
        <row r="52">
          <cell r="B52">
            <v>19532480.05999999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8" sqref="G148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276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272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269</v>
      </c>
      <c r="H4" s="198" t="s">
        <v>270</v>
      </c>
      <c r="I4" s="200" t="s">
        <v>188</v>
      </c>
      <c r="J4" s="202" t="s">
        <v>189</v>
      </c>
      <c r="K4" s="204" t="s">
        <v>274</v>
      </c>
      <c r="L4" s="205"/>
      <c r="M4" s="192"/>
      <c r="N4" s="175" t="s">
        <v>277</v>
      </c>
      <c r="O4" s="200" t="s">
        <v>136</v>
      </c>
      <c r="P4" s="200" t="s">
        <v>135</v>
      </c>
      <c r="Q4" s="204" t="s">
        <v>275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268</v>
      </c>
      <c r="F5" s="195"/>
      <c r="G5" s="197"/>
      <c r="H5" s="199"/>
      <c r="I5" s="201"/>
      <c r="J5" s="203"/>
      <c r="K5" s="206"/>
      <c r="L5" s="207"/>
      <c r="M5" s="151" t="s">
        <v>271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351358.79999999993</v>
      </c>
      <c r="F8" s="22">
        <f>F10+F19+F33+F56+F68+F30</f>
        <v>327728.97000000003</v>
      </c>
      <c r="G8" s="22">
        <f aca="true" t="shared" si="0" ref="G8:G30">F8-E8</f>
        <v>-23629.8299999999</v>
      </c>
      <c r="H8" s="51">
        <f>F8/E8*100</f>
        <v>93.27472942189013</v>
      </c>
      <c r="I8" s="36">
        <f aca="true" t="shared" si="1" ref="I8:I17">F8-D8</f>
        <v>-160747.32999999996</v>
      </c>
      <c r="J8" s="36">
        <f aca="true" t="shared" si="2" ref="J8:J14">F8/D8*100</f>
        <v>67.0920922877937</v>
      </c>
      <c r="K8" s="36">
        <f>F8-344287.2</f>
        <v>-16558.22999999998</v>
      </c>
      <c r="L8" s="136">
        <f>F8/344287.2</f>
        <v>0.9519057635601905</v>
      </c>
      <c r="M8" s="22">
        <f>M10+M19+M33+M56+M68+M30</f>
        <v>39345.409999999996</v>
      </c>
      <c r="N8" s="22">
        <f>N10+N19+N33+N56+N68+N30</f>
        <v>18793.200000000037</v>
      </c>
      <c r="O8" s="36">
        <f aca="true" t="shared" si="3" ref="O8:O71">N8-M8</f>
        <v>-20552.20999999996</v>
      </c>
      <c r="P8" s="36">
        <f>F8/M8*100</f>
        <v>832.9535008022539</v>
      </c>
      <c r="Q8" s="36">
        <f>N8-37510.4</f>
        <v>-18717.199999999964</v>
      </c>
      <c r="R8" s="134">
        <f>N8/37510.4</f>
        <v>0.5010130523801409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267659.84</v>
      </c>
      <c r="G9" s="22">
        <f t="shared" si="0"/>
        <v>267659.84</v>
      </c>
      <c r="H9" s="20"/>
      <c r="I9" s="56">
        <f t="shared" si="1"/>
        <v>-119353.35999999999</v>
      </c>
      <c r="J9" s="56">
        <f t="shared" si="2"/>
        <v>69.16039039495294</v>
      </c>
      <c r="K9" s="56"/>
      <c r="L9" s="135"/>
      <c r="M9" s="20">
        <f>M10+M17</f>
        <v>32323.5</v>
      </c>
      <c r="N9" s="20">
        <f>N10+N17</f>
        <v>17381.410000000033</v>
      </c>
      <c r="O9" s="36">
        <f t="shared" si="3"/>
        <v>-14942.089999999967</v>
      </c>
      <c r="P9" s="56">
        <f>F9/M9*100</f>
        <v>828.065772580321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267659.84</v>
      </c>
      <c r="G10" s="49">
        <f t="shared" si="0"/>
        <v>-19799.659999999974</v>
      </c>
      <c r="H10" s="40">
        <f aca="true" t="shared" si="4" ref="H10:H17">F10/E10*100</f>
        <v>93.11219145653563</v>
      </c>
      <c r="I10" s="56">
        <f t="shared" si="1"/>
        <v>-119353.35999999999</v>
      </c>
      <c r="J10" s="56">
        <f t="shared" si="2"/>
        <v>69.16039039495294</v>
      </c>
      <c r="K10" s="141">
        <f>F10-272674.4</f>
        <v>-5014.559999999998</v>
      </c>
      <c r="L10" s="142">
        <f>F10/272674.4</f>
        <v>0.981609714736697</v>
      </c>
      <c r="M10" s="40">
        <f>E10-серпень!E10</f>
        <v>32323.5</v>
      </c>
      <c r="N10" s="40">
        <f>F10-серпень!F10</f>
        <v>17381.410000000033</v>
      </c>
      <c r="O10" s="53">
        <f t="shared" si="3"/>
        <v>-14942.089999999967</v>
      </c>
      <c r="P10" s="56">
        <f aca="true" t="shared" si="5" ref="P10:P17">N10/M10*100</f>
        <v>53.77329187742674</v>
      </c>
      <c r="Q10" s="141">
        <f>N10-29967.1</f>
        <v>-12585.689999999966</v>
      </c>
      <c r="R10" s="142">
        <f>N10/29967.1</f>
        <v>0.58001641800508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-415.95</v>
      </c>
      <c r="G19" s="49">
        <f t="shared" si="0"/>
        <v>-1472.55</v>
      </c>
      <c r="H19" s="40">
        <f aca="true" t="shared" si="6" ref="H19:H29">F19/E19*100</f>
        <v>-39.36683702441795</v>
      </c>
      <c r="I19" s="56">
        <f aca="true" t="shared" si="7" ref="I19:I29">F19-D19</f>
        <v>-1415.95</v>
      </c>
      <c r="J19" s="56">
        <f aca="true" t="shared" si="8" ref="J19:J29">F19/D19*100</f>
        <v>-41.595</v>
      </c>
      <c r="K19" s="167">
        <f>F19-6479.1</f>
        <v>-6895.05</v>
      </c>
      <c r="L19" s="168">
        <f>F19/6479.1</f>
        <v>-0.06419873130527387</v>
      </c>
      <c r="M19" s="40">
        <f>E19-серпень!E19</f>
        <v>11</v>
      </c>
      <c r="N19" s="40">
        <f>F19-серпень!F19</f>
        <v>-488.65999999999997</v>
      </c>
      <c r="O19" s="53">
        <f t="shared" si="3"/>
        <v>-499.65999999999997</v>
      </c>
      <c r="P19" s="56">
        <f aca="true" t="shared" si="9" ref="P19:P29">N19/M19*100</f>
        <v>-4442.363636363636</v>
      </c>
      <c r="Q19" s="56">
        <f>N19-362</f>
        <v>-850.66</v>
      </c>
      <c r="R19" s="135">
        <f>N19/362</f>
        <v>-1.349889502762431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84.12</v>
      </c>
      <c r="G29" s="49">
        <f t="shared" si="0"/>
        <v>-712.48</v>
      </c>
      <c r="H29" s="40">
        <f t="shared" si="6"/>
        <v>10.559879487823249</v>
      </c>
      <c r="I29" s="56">
        <f t="shared" si="7"/>
        <v>-845.88</v>
      </c>
      <c r="J29" s="56">
        <f t="shared" si="8"/>
        <v>9.045161290322582</v>
      </c>
      <c r="K29" s="148">
        <f>F29-2860</f>
        <v>-2775.88</v>
      </c>
      <c r="L29" s="149">
        <f>F29/2860</f>
        <v>0.029412587412587413</v>
      </c>
      <c r="M29" s="40">
        <f>E29-серпень!E29</f>
        <v>11</v>
      </c>
      <c r="N29" s="40">
        <f>F29-серпень!F29</f>
        <v>-489</v>
      </c>
      <c r="O29" s="148">
        <f t="shared" si="3"/>
        <v>-500</v>
      </c>
      <c r="P29" s="145">
        <f t="shared" si="9"/>
        <v>-4445.454545454545</v>
      </c>
      <c r="Q29" s="148">
        <f>N29-361.95</f>
        <v>-850.95</v>
      </c>
      <c r="R29" s="149">
        <f>N29/361.95</f>
        <v>-1.3510153336096147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</v>
      </c>
      <c r="F33" s="169">
        <v>55687.9</v>
      </c>
      <c r="G33" s="49">
        <f aca="true" t="shared" si="14" ref="G33:G72">F33-E33</f>
        <v>-2014.199999999997</v>
      </c>
      <c r="H33" s="40">
        <f aca="true" t="shared" si="15" ref="H33:H67">F33/E33*100</f>
        <v>96.50931248602738</v>
      </c>
      <c r="I33" s="56">
        <f>F33-D33</f>
        <v>-37878.1</v>
      </c>
      <c r="J33" s="56">
        <f aca="true" t="shared" si="16" ref="J33:J72">F33/D33*100</f>
        <v>59.51723916807388</v>
      </c>
      <c r="K33" s="141">
        <f>F33-60413.2</f>
        <v>-4725.299999999996</v>
      </c>
      <c r="L33" s="142">
        <f>F33/60413.2</f>
        <v>0.9217836499308099</v>
      </c>
      <c r="M33" s="40">
        <f>E33-серпень!E33</f>
        <v>6401.309999999998</v>
      </c>
      <c r="N33" s="40">
        <f>F33-серпень!F33</f>
        <v>1395.1600000000035</v>
      </c>
      <c r="O33" s="53">
        <f t="shared" si="3"/>
        <v>-5006.149999999994</v>
      </c>
      <c r="P33" s="56">
        <f aca="true" t="shared" si="17" ref="P33:P67">N33/M33*100</f>
        <v>21.79491385357066</v>
      </c>
      <c r="Q33" s="141">
        <f>N33-6624.9</f>
        <v>-5229.739999999996</v>
      </c>
      <c r="R33" s="142">
        <f>N33/6624.9</f>
        <v>0.21059336744705634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41377.22</v>
      </c>
      <c r="G55" s="144">
        <f t="shared" si="14"/>
        <v>-1094.6199999999953</v>
      </c>
      <c r="H55" s="146">
        <f t="shared" si="15"/>
        <v>97.4227158512558</v>
      </c>
      <c r="I55" s="145">
        <f t="shared" si="18"/>
        <v>-28888.78</v>
      </c>
      <c r="J55" s="145">
        <f t="shared" si="16"/>
        <v>58.88654541314434</v>
      </c>
      <c r="K55" s="148">
        <f>F55-43813.51</f>
        <v>-2436.290000000001</v>
      </c>
      <c r="L55" s="149">
        <f>F55/43813.51</f>
        <v>0.9443940921418987</v>
      </c>
      <c r="M55" s="40">
        <f>E55-серпень!E55</f>
        <v>4681.3499999999985</v>
      </c>
      <c r="N55" s="40">
        <f>F55-серпень!F55</f>
        <v>1236.9500000000044</v>
      </c>
      <c r="O55" s="148">
        <f t="shared" si="3"/>
        <v>-3444.399999999994</v>
      </c>
      <c r="P55" s="148">
        <f t="shared" si="17"/>
        <v>26.422933555491575</v>
      </c>
      <c r="Q55" s="160">
        <f>N55-4961.43</f>
        <v>-3724.479999999996</v>
      </c>
      <c r="R55" s="161">
        <f>N55/7961.43</f>
        <v>0.1553678170881367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5113.5</v>
      </c>
      <c r="F56" s="169">
        <f>1.51+4791.07</f>
        <v>4792.58</v>
      </c>
      <c r="G56" s="49">
        <f t="shared" si="14"/>
        <v>-320.9200000000001</v>
      </c>
      <c r="H56" s="40">
        <f t="shared" si="15"/>
        <v>93.72406375281118</v>
      </c>
      <c r="I56" s="56">
        <f t="shared" si="18"/>
        <v>-2067.42</v>
      </c>
      <c r="J56" s="56">
        <f t="shared" si="16"/>
        <v>69.86268221574345</v>
      </c>
      <c r="K56" s="56">
        <f>F56-4694.5</f>
        <v>98.07999999999993</v>
      </c>
      <c r="L56" s="135">
        <f>F56/4694.5</f>
        <v>1.0208925338161678</v>
      </c>
      <c r="M56" s="40">
        <f>E56-серпень!E56</f>
        <v>609.6000000000004</v>
      </c>
      <c r="N56" s="40">
        <f>F56-серпень!F56</f>
        <v>505.28999999999996</v>
      </c>
      <c r="O56" s="53">
        <f t="shared" si="3"/>
        <v>-104.3100000000004</v>
      </c>
      <c r="P56" s="56">
        <f t="shared" si="17"/>
        <v>82.888779527559</v>
      </c>
      <c r="Q56" s="56">
        <f>N56-556.2</f>
        <v>-50.91000000000008</v>
      </c>
      <c r="R56" s="135">
        <f>N56/556.2</f>
        <v>0.9084681769147788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F68-1</f>
        <v>0.29000000000000004</v>
      </c>
      <c r="L68" s="135"/>
      <c r="M68" s="40">
        <f>E68-серпень!E68</f>
        <v>0</v>
      </c>
      <c r="N68" s="40">
        <f>F68-серпень!F68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9600.19</v>
      </c>
      <c r="G74" s="50">
        <f aca="true" t="shared" si="24" ref="G74:G92">F74-E74</f>
        <v>-2579.8099999999995</v>
      </c>
      <c r="H74" s="51">
        <f aca="true" t="shared" si="25" ref="H74:H87">F74/E74*100</f>
        <v>78.81929392446634</v>
      </c>
      <c r="I74" s="36">
        <f aca="true" t="shared" si="26" ref="I74:I92">F74-D74</f>
        <v>-8758.109999999999</v>
      </c>
      <c r="J74" s="36">
        <f aca="true" t="shared" si="27" ref="J74:J92">F74/D74*100</f>
        <v>52.29345854463649</v>
      </c>
      <c r="K74" s="36">
        <f>F74-14585.4</f>
        <v>-4985.209999999999</v>
      </c>
      <c r="L74" s="136">
        <f>F74/14585.4</f>
        <v>0.6582054657397124</v>
      </c>
      <c r="M74" s="22">
        <f>M77+M86+M88+M89+M94+M95+M96+M97+M99+M87+M104</f>
        <v>1580.5</v>
      </c>
      <c r="N74" s="22">
        <f>N77+N86+N88+N89+N94+N95+N96+N97+N99+N32+N104+N87+N103</f>
        <v>990.4599999999998</v>
      </c>
      <c r="O74" s="55">
        <f aca="true" t="shared" si="28" ref="O74:O92">N74-M74</f>
        <v>-590.0400000000002</v>
      </c>
      <c r="P74" s="36">
        <f>N74/M74*100</f>
        <v>62.66751028155646</v>
      </c>
      <c r="Q74" s="36">
        <f>N74-1622.9</f>
        <v>-632.4400000000003</v>
      </c>
      <c r="R74" s="136">
        <f>N74/1622.9</f>
        <v>0.6103025448271611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255.84</v>
      </c>
      <c r="G87" s="49">
        <f t="shared" si="24"/>
        <v>35.84</v>
      </c>
      <c r="H87" s="40">
        <f t="shared" si="25"/>
        <v>116.29090909090908</v>
      </c>
      <c r="I87" s="56">
        <f t="shared" si="26"/>
        <v>-244.16</v>
      </c>
      <c r="J87" s="56">
        <f t="shared" si="27"/>
        <v>51.168</v>
      </c>
      <c r="K87" s="56">
        <f>F87-210.3</f>
        <v>45.53999999999999</v>
      </c>
      <c r="L87" s="135">
        <f>F87/210.3</f>
        <v>1.2165477888730385</v>
      </c>
      <c r="M87" s="40">
        <f>E87-серпень!E87</f>
        <v>0</v>
      </c>
      <c r="N87" s="40">
        <f>F87-серпень!F87</f>
        <v>0.06999999999999318</v>
      </c>
      <c r="O87" s="53">
        <f t="shared" si="28"/>
        <v>0.06999999999999318</v>
      </c>
      <c r="P87" s="56" t="e">
        <f t="shared" si="29"/>
        <v>#DIV/0!</v>
      </c>
      <c r="Q87" s="56">
        <f>N87-12.4</f>
        <v>-12.330000000000007</v>
      </c>
      <c r="R87" s="135">
        <f>N87/12.4</f>
        <v>0.00564516129032203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95.37</v>
      </c>
      <c r="G89" s="49">
        <f t="shared" si="24"/>
        <v>-33.629999999999995</v>
      </c>
      <c r="H89" s="40">
        <f>F89/E89*100</f>
        <v>73.93023255813954</v>
      </c>
      <c r="I89" s="56">
        <f t="shared" si="26"/>
        <v>-79.63</v>
      </c>
      <c r="J89" s="56">
        <f t="shared" si="27"/>
        <v>54.497142857142855</v>
      </c>
      <c r="K89" s="56">
        <f>F89-123.2</f>
        <v>-27.83</v>
      </c>
      <c r="L89" s="135">
        <f>F89/123.2</f>
        <v>0.7741071428571429</v>
      </c>
      <c r="M89" s="40">
        <f>E89-серпень!E89</f>
        <v>15</v>
      </c>
      <c r="N89" s="40">
        <f>F89-серпень!F89</f>
        <v>13.010000000000005</v>
      </c>
      <c r="O89" s="53">
        <f t="shared" si="28"/>
        <v>-1.9899999999999949</v>
      </c>
      <c r="P89" s="56">
        <f>N89/M89*100</f>
        <v>86.73333333333336</v>
      </c>
      <c r="Q89" s="56">
        <f>N89-14.8</f>
        <v>-1.7899999999999956</v>
      </c>
      <c r="R89" s="135">
        <f>N89/14.8</f>
        <v>0.8790540540540543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738.34</v>
      </c>
      <c r="G96" s="49">
        <f t="shared" si="31"/>
        <v>-56.15999999999997</v>
      </c>
      <c r="H96" s="40">
        <f>F96/E96*100</f>
        <v>92.93140339836376</v>
      </c>
      <c r="I96" s="56">
        <f t="shared" si="32"/>
        <v>-461.65999999999997</v>
      </c>
      <c r="J96" s="56">
        <f>F96/D96*100</f>
        <v>61.52833333333334</v>
      </c>
      <c r="K96" s="56">
        <f>F96-795.5</f>
        <v>-57.15999999999997</v>
      </c>
      <c r="L96" s="135">
        <f>F96/795.5</f>
        <v>0.9281458202388435</v>
      </c>
      <c r="M96" s="40">
        <f>E96-серпень!E96</f>
        <v>100</v>
      </c>
      <c r="N96" s="40">
        <f>F96-серпень!F96</f>
        <v>52.680000000000064</v>
      </c>
      <c r="O96" s="53">
        <f t="shared" si="33"/>
        <v>-47.319999999999936</v>
      </c>
      <c r="P96" s="56">
        <f>N96/M96*100</f>
        <v>52.680000000000064</v>
      </c>
      <c r="Q96" s="56">
        <f>N96-102.1</f>
        <v>-49.41999999999993</v>
      </c>
      <c r="R96" s="135">
        <f>N96/102.1</f>
        <v>0.5159647404505393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2997.62</v>
      </c>
      <c r="G99" s="49">
        <f t="shared" si="31"/>
        <v>-9.38000000000011</v>
      </c>
      <c r="H99" s="40">
        <f>F99/E99*100</f>
        <v>99.68806119055536</v>
      </c>
      <c r="I99" s="56">
        <f t="shared" si="32"/>
        <v>-1575.08</v>
      </c>
      <c r="J99" s="56">
        <f>F99/D99*100</f>
        <v>65.55470509764471</v>
      </c>
      <c r="K99" s="56">
        <f>F99-3411.3</f>
        <v>-413.6800000000003</v>
      </c>
      <c r="L99" s="135">
        <f>F99/3411.3</f>
        <v>0.8787324480403365</v>
      </c>
      <c r="M99" s="40">
        <f>E99-серпень!E99</f>
        <v>410</v>
      </c>
      <c r="N99" s="40">
        <f>F99-серпень!F99</f>
        <v>294.96000000000004</v>
      </c>
      <c r="O99" s="53">
        <f t="shared" si="33"/>
        <v>-115.03999999999996</v>
      </c>
      <c r="P99" s="56">
        <f>N99/M99*100</f>
        <v>71.94146341463416</v>
      </c>
      <c r="Q99" s="56">
        <f>N99-432.2</f>
        <v>-137.23999999999995</v>
      </c>
      <c r="R99" s="135">
        <f>N99/432.2</f>
        <v>0.6824618232299862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747.9</v>
      </c>
      <c r="G102" s="144"/>
      <c r="H102" s="146"/>
      <c r="I102" s="145"/>
      <c r="J102" s="145"/>
      <c r="K102" s="148">
        <f>F102-545.2</f>
        <v>202.69999999999993</v>
      </c>
      <c r="L102" s="149">
        <f>F102/545.2</f>
        <v>1.3717901687454144</v>
      </c>
      <c r="M102" s="40">
        <f>E102-серпень!E102</f>
        <v>0</v>
      </c>
      <c r="N102" s="40">
        <f>F102-серпень!F102</f>
        <v>112.10000000000002</v>
      </c>
      <c r="O102" s="53"/>
      <c r="P102" s="60"/>
      <c r="Q102" s="60">
        <f>N102-124.1</f>
        <v>-11.999999999999972</v>
      </c>
      <c r="R102" s="138">
        <f>N102/124.1</f>
        <v>0.9033037872683323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17.23</v>
      </c>
      <c r="G105" s="49">
        <f>F105-E105</f>
        <v>-6.969999999999999</v>
      </c>
      <c r="H105" s="40">
        <f>F105/E105*100</f>
        <v>71.19834710743802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E105-серпень!E105</f>
        <v>3</v>
      </c>
      <c r="N105" s="40">
        <f>F105-серпень!F105</f>
        <v>0</v>
      </c>
      <c r="O105" s="53">
        <f t="shared" si="35"/>
        <v>-3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363562.99999999994</v>
      </c>
      <c r="F107" s="22">
        <f>F8+F74+F105+F106</f>
        <v>337346.76</v>
      </c>
      <c r="G107" s="50">
        <f>F107-E107</f>
        <v>-26216.239999999932</v>
      </c>
      <c r="H107" s="51">
        <f>F107/E107*100</f>
        <v>92.78907919672795</v>
      </c>
      <c r="I107" s="36">
        <f t="shared" si="34"/>
        <v>-169532.83999999997</v>
      </c>
      <c r="J107" s="36">
        <f t="shared" si="36"/>
        <v>66.55362733082966</v>
      </c>
      <c r="K107" s="36">
        <f>F107-358888.5</f>
        <v>-21541.73999999999</v>
      </c>
      <c r="L107" s="136">
        <f>F107/358888.5</f>
        <v>0.9399765108104606</v>
      </c>
      <c r="M107" s="22">
        <f>M8+M74+M105+M106</f>
        <v>40928.909999999996</v>
      </c>
      <c r="N107" s="22">
        <f>N8+N74+N105+N106</f>
        <v>19783.660000000036</v>
      </c>
      <c r="O107" s="55">
        <f t="shared" si="35"/>
        <v>-21145.24999999996</v>
      </c>
      <c r="P107" s="36">
        <f>N107/M107*100</f>
        <v>48.336640286780266</v>
      </c>
      <c r="Q107" s="36">
        <f>N107-39133.2</f>
        <v>-19349.53999999996</v>
      </c>
      <c r="R107" s="136">
        <f>N107/39133.2</f>
        <v>0.5055466969223074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288254</v>
      </c>
      <c r="F108" s="71">
        <f>F10-F18+F96</f>
        <v>268398.18000000005</v>
      </c>
      <c r="G108" s="71">
        <f>G10-G18+G96</f>
        <v>-19855.819999999974</v>
      </c>
      <c r="H108" s="72">
        <f>F108/E108*100</f>
        <v>93.11169315950517</v>
      </c>
      <c r="I108" s="52">
        <f t="shared" si="34"/>
        <v>-119815.01999999996</v>
      </c>
      <c r="J108" s="52">
        <f t="shared" si="36"/>
        <v>69.13679905783731</v>
      </c>
      <c r="K108" s="52">
        <f>F108-273558.9</f>
        <v>-5160.719999999972</v>
      </c>
      <c r="L108" s="137">
        <f>F108/273558.9</f>
        <v>0.9811348853939683</v>
      </c>
      <c r="M108" s="71">
        <f>M10-M18+M96</f>
        <v>32423.5</v>
      </c>
      <c r="N108" s="71">
        <f>N10-N18+N96</f>
        <v>17434.090000000033</v>
      </c>
      <c r="O108" s="53">
        <f t="shared" si="35"/>
        <v>-14989.409999999967</v>
      </c>
      <c r="P108" s="52">
        <f>N108/M108*100</f>
        <v>53.769919965457255</v>
      </c>
      <c r="Q108" s="52">
        <f>N108-30069.2</f>
        <v>-12635.109999999968</v>
      </c>
      <c r="R108" s="137">
        <f>N108/30069.2</f>
        <v>0.5797989304670571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75308.99999999994</v>
      </c>
      <c r="F109" s="71">
        <f>F107-F108</f>
        <v>68948.57999999996</v>
      </c>
      <c r="G109" s="62">
        <f>F109-E109</f>
        <v>-6360.419999999984</v>
      </c>
      <c r="H109" s="72">
        <f>F109/E109*100</f>
        <v>91.55423654543283</v>
      </c>
      <c r="I109" s="52">
        <f t="shared" si="34"/>
        <v>-49717.82000000001</v>
      </c>
      <c r="J109" s="52">
        <f t="shared" si="36"/>
        <v>58.10286652329554</v>
      </c>
      <c r="K109" s="52">
        <f>F109-85329.7</f>
        <v>-16381.120000000039</v>
      </c>
      <c r="L109" s="137">
        <f>F109/85329.7</f>
        <v>0.8080255760889814</v>
      </c>
      <c r="M109" s="71">
        <f>M107-M108</f>
        <v>8505.409999999996</v>
      </c>
      <c r="N109" s="71">
        <f>N107-N108</f>
        <v>2349.5700000000033</v>
      </c>
      <c r="O109" s="53">
        <f t="shared" si="35"/>
        <v>-6155.839999999993</v>
      </c>
      <c r="P109" s="52">
        <f>N109/M109*100</f>
        <v>27.62441787050835</v>
      </c>
      <c r="Q109" s="52">
        <f>N109-9064</f>
        <v>-6714.429999999997</v>
      </c>
      <c r="R109" s="137">
        <f>N109/9064</f>
        <v>0.25921999117387506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268398.18000000005</v>
      </c>
      <c r="G110" s="111">
        <f>F110-E110</f>
        <v>-14485.919999999925</v>
      </c>
      <c r="H110" s="72">
        <f>F110/E110*100</f>
        <v>94.87920317896979</v>
      </c>
      <c r="I110" s="81">
        <f t="shared" si="34"/>
        <v>-119815.01999999996</v>
      </c>
      <c r="J110" s="52">
        <f t="shared" si="36"/>
        <v>69.13679905783731</v>
      </c>
      <c r="K110" s="52"/>
      <c r="L110" s="137"/>
      <c r="M110" s="72">
        <f>E110-серпень!E110</f>
        <v>32423.49999999997</v>
      </c>
      <c r="N110" s="71">
        <f>N108</f>
        <v>17434.090000000033</v>
      </c>
      <c r="O110" s="63">
        <f t="shared" si="35"/>
        <v>-14989.409999999938</v>
      </c>
      <c r="P110" s="52">
        <f>N110/M110*100</f>
        <v>53.769919965457305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-0.74</v>
      </c>
      <c r="G114" s="49">
        <f aca="true" t="shared" si="37" ref="G114:G126">F114-E114</f>
        <v>-0.74</v>
      </c>
      <c r="H114" s="40"/>
      <c r="I114" s="60">
        <f aca="true" t="shared" si="38" ref="I114:I125">F114-D114</f>
        <v>-0.74</v>
      </c>
      <c r="J114" s="60"/>
      <c r="K114" s="60">
        <f>F114-21.5</f>
        <v>-22.24</v>
      </c>
      <c r="L114" s="138">
        <f>F114/21.5</f>
        <v>-0.03441860465116279</v>
      </c>
      <c r="M114" s="40">
        <f>E114-серпень!E114</f>
        <v>0</v>
      </c>
      <c r="N114" s="40">
        <f>F114-серпень!F114</f>
        <v>0.21999999999999997</v>
      </c>
      <c r="O114" s="53"/>
      <c r="P114" s="60"/>
      <c r="Q114" s="60">
        <f>N114-0.9</f>
        <v>-0.68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1087.71</v>
      </c>
      <c r="G115" s="49">
        <f t="shared" si="37"/>
        <v>-1591.8899999999999</v>
      </c>
      <c r="H115" s="40">
        <f aca="true" t="shared" si="39" ref="H115:H126">F115/E115*100</f>
        <v>40.5922525750112</v>
      </c>
      <c r="I115" s="60">
        <f t="shared" si="38"/>
        <v>-2583.79</v>
      </c>
      <c r="J115" s="60">
        <f aca="true" t="shared" si="40" ref="J115:J121">F115/D115*100</f>
        <v>29.62576603568024</v>
      </c>
      <c r="K115" s="60">
        <f>F115-3077.6</f>
        <v>-1989.8899999999999</v>
      </c>
      <c r="L115" s="138">
        <f>F115/3077.6</f>
        <v>0.353427995840915</v>
      </c>
      <c r="M115" s="40">
        <f>E115-серпень!E115</f>
        <v>327.5</v>
      </c>
      <c r="N115" s="40">
        <f>F115-серпень!F115</f>
        <v>102.19000000000005</v>
      </c>
      <c r="O115" s="53">
        <f aca="true" t="shared" si="41" ref="O115:O126">N115-M115</f>
        <v>-225.30999999999995</v>
      </c>
      <c r="P115" s="60">
        <f>N115/M115*100</f>
        <v>31.20305343511452</v>
      </c>
      <c r="Q115" s="60">
        <f>N115-150.5</f>
        <v>-48.309999999999945</v>
      </c>
      <c r="R115" s="138">
        <f>N115/150.5</f>
        <v>0.6790033222591366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236.19</v>
      </c>
      <c r="G116" s="49">
        <f t="shared" si="37"/>
        <v>35.69</v>
      </c>
      <c r="H116" s="40">
        <f t="shared" si="39"/>
        <v>117.8004987531172</v>
      </c>
      <c r="I116" s="60">
        <f t="shared" si="38"/>
        <v>-31.910000000000025</v>
      </c>
      <c r="J116" s="60">
        <f t="shared" si="40"/>
        <v>88.0977247295785</v>
      </c>
      <c r="K116" s="60">
        <f>F116-200.1</f>
        <v>36.09</v>
      </c>
      <c r="L116" s="138">
        <f>F116/200.1</f>
        <v>1.180359820089955</v>
      </c>
      <c r="M116" s="40">
        <f>E116-серпень!E116</f>
        <v>22</v>
      </c>
      <c r="N116" s="40">
        <f>F116-серпень!F116</f>
        <v>28.870000000000005</v>
      </c>
      <c r="O116" s="53">
        <f t="shared" si="41"/>
        <v>6.8700000000000045</v>
      </c>
      <c r="P116" s="60">
        <f>N116/M116*100</f>
        <v>131.22727272727275</v>
      </c>
      <c r="Q116" s="60">
        <f>N116-24.4</f>
        <v>4.470000000000006</v>
      </c>
      <c r="R116" s="138">
        <f>N116/24.4</f>
        <v>1.1831967213114756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1323.16</v>
      </c>
      <c r="G117" s="62">
        <f t="shared" si="37"/>
        <v>-1556.9399999999998</v>
      </c>
      <c r="H117" s="72">
        <f t="shared" si="39"/>
        <v>45.94146036595952</v>
      </c>
      <c r="I117" s="61">
        <f t="shared" si="38"/>
        <v>-2616.4399999999996</v>
      </c>
      <c r="J117" s="61">
        <f t="shared" si="40"/>
        <v>33.586150878261755</v>
      </c>
      <c r="K117" s="61">
        <f>F117-3299.2</f>
        <v>-1976.0399999999997</v>
      </c>
      <c r="L117" s="139">
        <f>F117/3299.2</f>
        <v>0.40105480116391856</v>
      </c>
      <c r="M117" s="62">
        <f>M115+M116+M114</f>
        <v>349.5</v>
      </c>
      <c r="N117" s="38">
        <f>SUM(N114:N116)</f>
        <v>131.28000000000006</v>
      </c>
      <c r="O117" s="61">
        <f t="shared" si="41"/>
        <v>-218.21999999999994</v>
      </c>
      <c r="P117" s="61">
        <f>N117/M117*100</f>
        <v>37.56223175965667</v>
      </c>
      <c r="Q117" s="61">
        <f>N117-175.8</f>
        <v>-44.51999999999995</v>
      </c>
      <c r="R117" s="139">
        <f>N117/175.8</f>
        <v>0.7467576791808876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294.8</v>
      </c>
      <c r="G119" s="49">
        <f t="shared" si="37"/>
        <v>107.30000000000001</v>
      </c>
      <c r="H119" s="40">
        <f t="shared" si="39"/>
        <v>157.22666666666666</v>
      </c>
      <c r="I119" s="60">
        <f t="shared" si="38"/>
        <v>27.600000000000023</v>
      </c>
      <c r="J119" s="60">
        <f t="shared" si="40"/>
        <v>110.32934131736528</v>
      </c>
      <c r="K119" s="60">
        <f>F119-174.4</f>
        <v>120.4</v>
      </c>
      <c r="L119" s="138">
        <f>F119/174.4</f>
        <v>1.6903669724770642</v>
      </c>
      <c r="M119" s="40">
        <f>E119-серпень!E119</f>
        <v>5</v>
      </c>
      <c r="N119" s="40">
        <f>F119-серпень!F119</f>
        <v>6</v>
      </c>
      <c r="O119" s="53">
        <f>N119-M119</f>
        <v>1</v>
      </c>
      <c r="P119" s="60">
        <f>N119/M119*100</f>
        <v>120</v>
      </c>
      <c r="Q119" s="60">
        <f>N119-1.4</f>
        <v>4.6</v>
      </c>
      <c r="R119" s="138">
        <f>N119/1.4</f>
        <v>4.285714285714286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58176.53</v>
      </c>
      <c r="G120" s="49">
        <f t="shared" si="37"/>
        <v>5663.93</v>
      </c>
      <c r="H120" s="40">
        <f t="shared" si="39"/>
        <v>110.78584949136017</v>
      </c>
      <c r="I120" s="53">
        <f t="shared" si="38"/>
        <v>-13799.460000000006</v>
      </c>
      <c r="J120" s="60">
        <f t="shared" si="40"/>
        <v>80.8276899004793</v>
      </c>
      <c r="K120" s="60">
        <f>F120-50659.1</f>
        <v>7517.43</v>
      </c>
      <c r="L120" s="138">
        <f>F120/50659.1</f>
        <v>1.1483924901942593</v>
      </c>
      <c r="M120" s="40">
        <f>E120-серпень!E120</f>
        <v>3100</v>
      </c>
      <c r="N120" s="40">
        <f>F120-серпень!F120</f>
        <v>2061.9000000000015</v>
      </c>
      <c r="O120" s="53">
        <f t="shared" si="41"/>
        <v>-1038.0999999999985</v>
      </c>
      <c r="P120" s="60">
        <f aca="true" t="shared" si="42" ref="P120:P125">N120/M120*100</f>
        <v>66.5129032258065</v>
      </c>
      <c r="Q120" s="60">
        <f>N120-3034.9</f>
        <v>-972.9999999999986</v>
      </c>
      <c r="R120" s="138">
        <f>N120/3034.9</f>
        <v>0.6793963557283605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2311.79</v>
      </c>
      <c r="G122" s="49">
        <f t="shared" si="37"/>
        <v>-10615.64</v>
      </c>
      <c r="H122" s="40">
        <f t="shared" si="39"/>
        <v>17.882827445207596</v>
      </c>
      <c r="I122" s="60">
        <f t="shared" si="38"/>
        <v>-20765.34</v>
      </c>
      <c r="J122" s="60">
        <f>F122/D122*100</f>
        <v>10.01766684158732</v>
      </c>
      <c r="K122" s="60">
        <f>F122-22303.9</f>
        <v>-19992.11</v>
      </c>
      <c r="L122" s="138">
        <f>F122/22303.9</f>
        <v>0.10364958594685234</v>
      </c>
      <c r="M122" s="40">
        <f>E122-серпень!E122</f>
        <v>3313.4299999999985</v>
      </c>
      <c r="N122" s="40">
        <f>F122-серпень!F122</f>
        <v>20</v>
      </c>
      <c r="O122" s="53">
        <f t="shared" si="41"/>
        <v>-3293.4299999999985</v>
      </c>
      <c r="P122" s="60">
        <f t="shared" si="42"/>
        <v>0.6036041202017247</v>
      </c>
      <c r="Q122" s="60">
        <f>N122-7566.7</f>
        <v>-7546.7</v>
      </c>
      <c r="R122" s="138">
        <f>N122/7566.7</f>
        <v>0.002643160162290034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941.06</v>
      </c>
      <c r="G123" s="49">
        <f t="shared" si="37"/>
        <v>-490.1600000000001</v>
      </c>
      <c r="H123" s="40">
        <f t="shared" si="39"/>
        <v>65.75229524461648</v>
      </c>
      <c r="I123" s="60">
        <f t="shared" si="38"/>
        <v>-1058.94</v>
      </c>
      <c r="J123" s="60">
        <f>F123/D123*100</f>
        <v>47.053</v>
      </c>
      <c r="K123" s="60">
        <f>F123-1660.3</f>
        <v>-719.24</v>
      </c>
      <c r="L123" s="138">
        <f>F123/1660.3</f>
        <v>0.5668011805095464</v>
      </c>
      <c r="M123" s="40">
        <f>E123-серпень!E123</f>
        <v>189.58999999999992</v>
      </c>
      <c r="N123" s="40">
        <f>F123-серпень!F123</f>
        <v>76.43999999999994</v>
      </c>
      <c r="O123" s="53">
        <f t="shared" si="41"/>
        <v>-113.14999999999998</v>
      </c>
      <c r="P123" s="60">
        <f t="shared" si="42"/>
        <v>40.31858220370271</v>
      </c>
      <c r="Q123" s="60">
        <f>N123-20.2</f>
        <v>56.23999999999994</v>
      </c>
      <c r="R123" s="138">
        <f>N123/20.2</f>
        <v>3.7841584158415813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63478.91</v>
      </c>
      <c r="G124" s="62">
        <f t="shared" si="37"/>
        <v>-5302.8399999999965</v>
      </c>
      <c r="H124" s="72">
        <f t="shared" si="39"/>
        <v>92.29033864360822</v>
      </c>
      <c r="I124" s="61">
        <f t="shared" si="38"/>
        <v>-38591.41</v>
      </c>
      <c r="J124" s="61">
        <f>F124/D124*100</f>
        <v>62.19135004181431</v>
      </c>
      <c r="K124" s="61">
        <f>F124-76087.4</f>
        <v>-12608.48999999999</v>
      </c>
      <c r="L124" s="139">
        <f>F124/76087.4</f>
        <v>0.8342893829990249</v>
      </c>
      <c r="M124" s="62">
        <f>M120+M121+M122+M123+M119</f>
        <v>6608.019999999999</v>
      </c>
      <c r="N124" s="62">
        <f>N120+N121+N122+N123+N119</f>
        <v>2164.3900000000017</v>
      </c>
      <c r="O124" s="61">
        <f t="shared" si="41"/>
        <v>-4443.629999999997</v>
      </c>
      <c r="P124" s="61">
        <f t="shared" si="42"/>
        <v>32.75398682207381</v>
      </c>
      <c r="Q124" s="61">
        <f>N124-10790.5</f>
        <v>-8626.109999999999</v>
      </c>
      <c r="R124" s="139">
        <f>N124/10790.5</f>
        <v>0.20058292016125312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14.17</v>
      </c>
      <c r="G125" s="49">
        <f t="shared" si="37"/>
        <v>-12.99</v>
      </c>
      <c r="H125" s="40">
        <f t="shared" si="39"/>
        <v>52.17231222385862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E125-серпень!E125</f>
        <v>4</v>
      </c>
      <c r="N125" s="40">
        <f>F125-серпень!F125</f>
        <v>0</v>
      </c>
      <c r="O125" s="53">
        <f t="shared" si="41"/>
        <v>-4</v>
      </c>
      <c r="P125" s="60">
        <f t="shared" si="42"/>
        <v>0</v>
      </c>
      <c r="Q125" s="60">
        <f>N125-0</f>
        <v>0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7366.18</v>
      </c>
      <c r="G128" s="49">
        <f aca="true" t="shared" si="43" ref="G128:G135">F128-E128</f>
        <v>647.6800000000003</v>
      </c>
      <c r="H128" s="40">
        <f>F128/E128*100</f>
        <v>109.64024707896107</v>
      </c>
      <c r="I128" s="60">
        <f aca="true" t="shared" si="44" ref="I128:I135">F128-D128</f>
        <v>-1333.8199999999997</v>
      </c>
      <c r="J128" s="60">
        <f>F128/D128*100</f>
        <v>84.66873563218391</v>
      </c>
      <c r="K128" s="60">
        <f>F128-8715.2</f>
        <v>-1349.0200000000004</v>
      </c>
      <c r="L128" s="138">
        <f>F128/8715.2</f>
        <v>0.8452106664218836</v>
      </c>
      <c r="M128" s="40">
        <f>E128-серпень!E128</f>
        <v>1</v>
      </c>
      <c r="N128" s="40">
        <f>F128-серпень!F128</f>
        <v>2.6599999999998545</v>
      </c>
      <c r="O128" s="53">
        <f aca="true" t="shared" si="45" ref="O128:O135">N128-M128</f>
        <v>1.6599999999998545</v>
      </c>
      <c r="P128" s="60">
        <f>N128/M128*100</f>
        <v>265.99999999998545</v>
      </c>
      <c r="Q128" s="60">
        <f>N128-35</f>
        <v>-32.340000000000146</v>
      </c>
      <c r="R128" s="162">
        <f>N128/35</f>
        <v>0.07599999999999585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0.89</v>
      </c>
      <c r="G129" s="49">
        <f t="shared" si="43"/>
        <v>0.89</v>
      </c>
      <c r="H129" s="40"/>
      <c r="I129" s="60">
        <f t="shared" si="44"/>
        <v>0.89</v>
      </c>
      <c r="J129" s="60"/>
      <c r="K129" s="60">
        <f>F129-1</f>
        <v>-0.10999999999999999</v>
      </c>
      <c r="L129" s="138">
        <f>F129/1</f>
        <v>0.89</v>
      </c>
      <c r="M129" s="40">
        <f>E129-серпень!E129</f>
        <v>0</v>
      </c>
      <c r="N129" s="40">
        <f>F129-серпень!F129</f>
        <v>0.040000000000000036</v>
      </c>
      <c r="O129" s="53">
        <f t="shared" si="45"/>
        <v>0.040000000000000036</v>
      </c>
      <c r="P129" s="60"/>
      <c r="Q129" s="60">
        <f>N129-0.7</f>
        <v>-0.6599999999999999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7400.72</v>
      </c>
      <c r="G130" s="62">
        <f t="shared" si="43"/>
        <v>647.8600000000006</v>
      </c>
      <c r="H130" s="72">
        <f>F130/E130*100</f>
        <v>109.5938609714995</v>
      </c>
      <c r="I130" s="61">
        <f t="shared" si="44"/>
        <v>-1349.9800000000005</v>
      </c>
      <c r="J130" s="61">
        <f>F130/D130*100</f>
        <v>84.57289131155221</v>
      </c>
      <c r="K130" s="61">
        <f>F130-8836.4</f>
        <v>-1435.6799999999994</v>
      </c>
      <c r="L130" s="139">
        <f>G130/8836.4</f>
        <v>0.0733171879951112</v>
      </c>
      <c r="M130" s="62">
        <f>M125+M128+M129+M127</f>
        <v>5</v>
      </c>
      <c r="N130" s="62">
        <f>N125+N128+N129+N127</f>
        <v>2.6999999999998545</v>
      </c>
      <c r="O130" s="61">
        <f t="shared" si="45"/>
        <v>-2.3000000000001455</v>
      </c>
      <c r="P130" s="61">
        <f>N130/M130*100</f>
        <v>53.999999999997094</v>
      </c>
      <c r="Q130" s="61">
        <f>N130-35.8</f>
        <v>-33.10000000000014</v>
      </c>
      <c r="R130" s="137">
        <f>N130/35.8</f>
        <v>0.07541899441340376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22.62</v>
      </c>
      <c r="G131" s="49">
        <f>F131-E131</f>
        <v>-0.8299999999999983</v>
      </c>
      <c r="H131" s="40">
        <f>F131/E131*100</f>
        <v>96.46055437100213</v>
      </c>
      <c r="I131" s="60">
        <f>F131-D131</f>
        <v>-7.379999999999999</v>
      </c>
      <c r="J131" s="60">
        <f>F131/D131*100</f>
        <v>75.4</v>
      </c>
      <c r="K131" s="60">
        <f>F131-25.4</f>
        <v>-2.7799999999999976</v>
      </c>
      <c r="L131" s="138">
        <f>F131/25.4</f>
        <v>0.8905511811023623</v>
      </c>
      <c r="M131" s="40">
        <f>E131-серпень!E131</f>
        <v>7</v>
      </c>
      <c r="N131" s="40">
        <f>F131-серпень!F131</f>
        <v>0</v>
      </c>
      <c r="O131" s="53">
        <f>N131-M131</f>
        <v>-7</v>
      </c>
      <c r="P131" s="60">
        <f>N131/M131*100</f>
        <v>0</v>
      </c>
      <c r="Q131" s="60">
        <f>N131-7.6</f>
        <v>-7.6</v>
      </c>
      <c r="R131" s="138">
        <f>N131/7.6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72225.41</v>
      </c>
      <c r="G134" s="50">
        <f t="shared" si="43"/>
        <v>-6212.75</v>
      </c>
      <c r="H134" s="51">
        <f>F134/E134*100</f>
        <v>92.07942919619737</v>
      </c>
      <c r="I134" s="36">
        <f t="shared" si="44"/>
        <v>-42565.21000000001</v>
      </c>
      <c r="J134" s="36">
        <f>F134/D134*100</f>
        <v>62.91926117308191</v>
      </c>
      <c r="K134" s="36">
        <f>F134-88248.3</f>
        <v>-16022.89</v>
      </c>
      <c r="L134" s="136">
        <f>F134/88248.3</f>
        <v>0.8184340094936673</v>
      </c>
      <c r="M134" s="31">
        <f>M117+M131+M124+M130+M133+M132</f>
        <v>6969.519999999999</v>
      </c>
      <c r="N134" s="31">
        <f>N117+N131+N124+N130+N133+N132</f>
        <v>2298.3700000000017</v>
      </c>
      <c r="O134" s="36">
        <f t="shared" si="45"/>
        <v>-4671.149999999997</v>
      </c>
      <c r="P134" s="36">
        <f>N134/M134*100</f>
        <v>32.97745038395761</v>
      </c>
      <c r="Q134" s="36">
        <f>N134-11009.7</f>
        <v>-8711.329999999998</v>
      </c>
      <c r="R134" s="136">
        <f>N134/11009.7</f>
        <v>0.2087586401082683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442001.1599999999</v>
      </c>
      <c r="F135" s="31">
        <f>F107+F134</f>
        <v>409572.17000000004</v>
      </c>
      <c r="G135" s="50">
        <f t="shared" si="43"/>
        <v>-32428.989999999874</v>
      </c>
      <c r="H135" s="51">
        <f>F135/E135*100</f>
        <v>92.66314368948719</v>
      </c>
      <c r="I135" s="36">
        <f t="shared" si="44"/>
        <v>-212098.04999999993</v>
      </c>
      <c r="J135" s="36">
        <f>F135/D135*100</f>
        <v>65.88254621558035</v>
      </c>
      <c r="K135" s="36">
        <f>F135-447136.8</f>
        <v>-37564.62999999995</v>
      </c>
      <c r="L135" s="136">
        <f>F135/447136.8</f>
        <v>0.9159885073203549</v>
      </c>
      <c r="M135" s="22">
        <f>M107+M134</f>
        <v>47898.42999999999</v>
      </c>
      <c r="N135" s="22">
        <f>N107+N134</f>
        <v>22082.03000000004</v>
      </c>
      <c r="O135" s="36">
        <f t="shared" si="45"/>
        <v>-25816.399999999954</v>
      </c>
      <c r="P135" s="36">
        <f>N135/M135*100</f>
        <v>46.101782459258146</v>
      </c>
      <c r="Q135" s="36">
        <f>N135-50142.9</f>
        <v>-28060.869999999963</v>
      </c>
      <c r="R135" s="136">
        <f>N135/50142.9</f>
        <v>0.44038198827750363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9</v>
      </c>
      <c r="D137" s="4" t="s">
        <v>118</v>
      </c>
    </row>
    <row r="138" spans="2:17" ht="31.5">
      <c r="B138" s="78" t="s">
        <v>154</v>
      </c>
      <c r="C138" s="39">
        <f>IF(O107&lt;0,ABS(O107/C137),0)</f>
        <v>2349.4722222222176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41899</v>
      </c>
      <c r="D139" s="39">
        <v>928.2</v>
      </c>
      <c r="N139" s="209"/>
      <c r="O139" s="209"/>
    </row>
    <row r="140" spans="3:15" ht="15.75">
      <c r="C140" s="120">
        <v>41898</v>
      </c>
      <c r="D140" s="39">
        <v>2248.6</v>
      </c>
      <c r="F140" s="4" t="s">
        <v>166</v>
      </c>
      <c r="G140" s="210" t="s">
        <v>151</v>
      </c>
      <c r="H140" s="210"/>
      <c r="I140" s="115"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41897</v>
      </c>
      <c r="D141" s="39">
        <v>2109.7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121702.75882999999</v>
      </c>
      <c r="E143" s="80"/>
      <c r="F143" s="100" t="s">
        <v>147</v>
      </c>
      <c r="G143" s="210" t="s">
        <v>149</v>
      </c>
      <c r="H143" s="210"/>
      <c r="I143" s="116">
        <v>112682.1623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19532.48005999999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261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259</v>
      </c>
      <c r="H4" s="198" t="s">
        <v>260</v>
      </c>
      <c r="I4" s="200" t="s">
        <v>188</v>
      </c>
      <c r="J4" s="202" t="s">
        <v>189</v>
      </c>
      <c r="K4" s="204" t="s">
        <v>264</v>
      </c>
      <c r="L4" s="205"/>
      <c r="M4" s="192"/>
      <c r="N4" s="175" t="s">
        <v>267</v>
      </c>
      <c r="O4" s="200" t="s">
        <v>136</v>
      </c>
      <c r="P4" s="200" t="s">
        <v>135</v>
      </c>
      <c r="Q4" s="204" t="s">
        <v>265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258</v>
      </c>
      <c r="F5" s="195"/>
      <c r="G5" s="197"/>
      <c r="H5" s="199"/>
      <c r="I5" s="201"/>
      <c r="J5" s="203"/>
      <c r="K5" s="206"/>
      <c r="L5" s="207"/>
      <c r="M5" s="151" t="s">
        <v>262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209"/>
      <c r="O139" s="209"/>
    </row>
    <row r="140" spans="3:15" ht="15.75">
      <c r="C140" s="120">
        <v>41879</v>
      </c>
      <c r="D140" s="39">
        <v>3653.6</v>
      </c>
      <c r="F140" s="4" t="s">
        <v>166</v>
      </c>
      <c r="G140" s="210" t="s">
        <v>151</v>
      </c>
      <c r="H140" s="210"/>
      <c r="I140" s="115">
        <v>13829.857960000001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41878</v>
      </c>
      <c r="D141" s="39">
        <v>1194.3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127799.14</v>
      </c>
      <c r="E143" s="80"/>
      <c r="F143" s="100" t="s">
        <v>147</v>
      </c>
      <c r="G143" s="210" t="s">
        <v>149</v>
      </c>
      <c r="H143" s="210"/>
      <c r="I143" s="116">
        <v>113969.28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18493.9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256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252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249</v>
      </c>
      <c r="H4" s="198" t="s">
        <v>250</v>
      </c>
      <c r="I4" s="200" t="s">
        <v>188</v>
      </c>
      <c r="J4" s="202" t="s">
        <v>189</v>
      </c>
      <c r="K4" s="204" t="s">
        <v>254</v>
      </c>
      <c r="L4" s="205"/>
      <c r="M4" s="192"/>
      <c r="N4" s="175" t="s">
        <v>257</v>
      </c>
      <c r="O4" s="200" t="s">
        <v>136</v>
      </c>
      <c r="P4" s="200" t="s">
        <v>135</v>
      </c>
      <c r="Q4" s="204" t="s">
        <v>255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248</v>
      </c>
      <c r="F5" s="195"/>
      <c r="G5" s="197"/>
      <c r="H5" s="199"/>
      <c r="I5" s="201"/>
      <c r="J5" s="203"/>
      <c r="K5" s="206"/>
      <c r="L5" s="207"/>
      <c r="M5" s="151" t="s">
        <v>251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209"/>
      <c r="O139" s="209"/>
    </row>
    <row r="140" spans="3:15" ht="15.75">
      <c r="C140" s="120">
        <v>41850</v>
      </c>
      <c r="D140" s="39">
        <v>4320</v>
      </c>
      <c r="F140" s="4" t="s">
        <v>166</v>
      </c>
      <c r="G140" s="210" t="s">
        <v>151</v>
      </c>
      <c r="H140" s="210"/>
      <c r="I140" s="115">
        <f>13825221.96/1000</f>
        <v>13825.22196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f>120856761.09/1000</f>
        <v>120856.76109</v>
      </c>
      <c r="E143" s="80"/>
      <c r="F143" s="100" t="s">
        <v>147</v>
      </c>
      <c r="G143" s="210" t="s">
        <v>149</v>
      </c>
      <c r="H143" s="210"/>
      <c r="I143" s="116">
        <f>107031539.13/1000</f>
        <v>107031.53912999999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f>26199804.73/1000</f>
        <v>26199.80473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J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246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243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238</v>
      </c>
      <c r="H4" s="198" t="s">
        <v>239</v>
      </c>
      <c r="I4" s="200" t="s">
        <v>188</v>
      </c>
      <c r="J4" s="202" t="s">
        <v>189</v>
      </c>
      <c r="K4" s="204" t="s">
        <v>240</v>
      </c>
      <c r="L4" s="205"/>
      <c r="M4" s="192"/>
      <c r="N4" s="175" t="s">
        <v>247</v>
      </c>
      <c r="O4" s="200" t="s">
        <v>136</v>
      </c>
      <c r="P4" s="200" t="s">
        <v>135</v>
      </c>
      <c r="Q4" s="204" t="s">
        <v>242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237</v>
      </c>
      <c r="F5" s="195"/>
      <c r="G5" s="197"/>
      <c r="H5" s="199"/>
      <c r="I5" s="201"/>
      <c r="J5" s="203"/>
      <c r="K5" s="206"/>
      <c r="L5" s="207"/>
      <c r="M5" s="151" t="s">
        <v>241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208"/>
      <c r="H138" s="208"/>
      <c r="I138" s="208"/>
      <c r="J138" s="208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209"/>
      <c r="O139" s="209"/>
    </row>
    <row r="140" spans="3:15" ht="15.75">
      <c r="C140" s="120">
        <v>41816</v>
      </c>
      <c r="D140" s="39">
        <v>4277.2</v>
      </c>
      <c r="F140" s="4" t="s">
        <v>166</v>
      </c>
      <c r="G140" s="210" t="s">
        <v>151</v>
      </c>
      <c r="H140" s="210"/>
      <c r="I140" s="115">
        <f>'[1]залишки  (2)'!$G$9/1000</f>
        <v>9020.59653</v>
      </c>
      <c r="J140" s="211" t="s">
        <v>161</v>
      </c>
      <c r="K140" s="211"/>
      <c r="L140" s="211"/>
      <c r="M140" s="211"/>
      <c r="N140" s="209"/>
      <c r="O140" s="20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209"/>
      <c r="O141" s="209"/>
    </row>
    <row r="142" spans="7:13" ht="15.75" customHeight="1">
      <c r="G142" s="210" t="s">
        <v>148</v>
      </c>
      <c r="H142" s="210"/>
      <c r="I142" s="112">
        <f>'[1]залишки  (2)'!$G$8/1000</f>
        <v>0</v>
      </c>
      <c r="J142" s="211" t="s">
        <v>163</v>
      </c>
      <c r="K142" s="211"/>
      <c r="L142" s="211"/>
      <c r="M142" s="211"/>
    </row>
    <row r="143" spans="2:13" ht="18.75" customHeight="1">
      <c r="B143" s="179" t="s">
        <v>160</v>
      </c>
      <c r="C143" s="180"/>
      <c r="D143" s="117">
        <v>117976.29</v>
      </c>
      <c r="E143" s="80"/>
      <c r="F143" s="100" t="s">
        <v>147</v>
      </c>
      <c r="G143" s="210" t="s">
        <v>149</v>
      </c>
      <c r="H143" s="210"/>
      <c r="I143" s="116">
        <v>104151.07</v>
      </c>
      <c r="J143" s="211" t="s">
        <v>164</v>
      </c>
      <c r="K143" s="211"/>
      <c r="L143" s="211"/>
      <c r="M143" s="211"/>
    </row>
    <row r="144" spans="7:12" ht="9.75" customHeight="1">
      <c r="G144" s="212"/>
      <c r="H144" s="212"/>
      <c r="I144" s="98"/>
      <c r="J144" s="99"/>
      <c r="K144" s="99"/>
      <c r="L144" s="99"/>
    </row>
    <row r="145" spans="2:12" ht="22.5" customHeight="1">
      <c r="B145" s="213" t="s">
        <v>169</v>
      </c>
      <c r="C145" s="214"/>
      <c r="D145" s="119">
        <v>41386</v>
      </c>
      <c r="E145" s="77" t="s">
        <v>104</v>
      </c>
      <c r="G145" s="212"/>
      <c r="H145" s="212"/>
      <c r="I145" s="98"/>
      <c r="J145" s="99"/>
      <c r="K145" s="99"/>
      <c r="L145" s="99"/>
    </row>
    <row r="146" spans="4:15" ht="15.75">
      <c r="D146" s="114"/>
      <c r="N146" s="212"/>
      <c r="O146" s="212"/>
    </row>
    <row r="147" spans="4:15" ht="15.75">
      <c r="D147" s="113"/>
      <c r="I147" s="39"/>
      <c r="N147" s="215"/>
      <c r="O147" s="215"/>
    </row>
    <row r="148" spans="14:15" ht="15.75">
      <c r="N148" s="212"/>
      <c r="O148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233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229</v>
      </c>
      <c r="H4" s="198" t="s">
        <v>230</v>
      </c>
      <c r="I4" s="200" t="s">
        <v>188</v>
      </c>
      <c r="J4" s="202" t="s">
        <v>189</v>
      </c>
      <c r="K4" s="204" t="s">
        <v>231</v>
      </c>
      <c r="L4" s="205"/>
      <c r="M4" s="192"/>
      <c r="N4" s="175" t="s">
        <v>236</v>
      </c>
      <c r="O4" s="200" t="s">
        <v>136</v>
      </c>
      <c r="P4" s="200" t="s">
        <v>135</v>
      </c>
      <c r="Q4" s="204" t="s">
        <v>234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228</v>
      </c>
      <c r="F5" s="195"/>
      <c r="G5" s="197"/>
      <c r="H5" s="199"/>
      <c r="I5" s="201"/>
      <c r="J5" s="203"/>
      <c r="K5" s="206"/>
      <c r="L5" s="207"/>
      <c r="M5" s="151" t="s">
        <v>232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209"/>
      <c r="O138" s="209"/>
    </row>
    <row r="139" spans="3:15" ht="15.75">
      <c r="C139" s="120">
        <v>41788</v>
      </c>
      <c r="D139" s="39">
        <v>5993.3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118982.48</v>
      </c>
      <c r="E142" s="80"/>
      <c r="F142" s="100" t="s">
        <v>147</v>
      </c>
      <c r="G142" s="210" t="s">
        <v>149</v>
      </c>
      <c r="H142" s="210"/>
      <c r="I142" s="116">
        <v>105157.26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27359.4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224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225</v>
      </c>
      <c r="N3" s="193" t="s">
        <v>221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217</v>
      </c>
      <c r="H4" s="198" t="s">
        <v>218</v>
      </c>
      <c r="I4" s="200" t="s">
        <v>188</v>
      </c>
      <c r="J4" s="202" t="s">
        <v>189</v>
      </c>
      <c r="K4" s="204" t="s">
        <v>219</v>
      </c>
      <c r="L4" s="205"/>
      <c r="M4" s="192"/>
      <c r="N4" s="175" t="s">
        <v>227</v>
      </c>
      <c r="O4" s="200" t="s">
        <v>136</v>
      </c>
      <c r="P4" s="200" t="s">
        <v>135</v>
      </c>
      <c r="Q4" s="204" t="s">
        <v>222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216</v>
      </c>
      <c r="F5" s="195"/>
      <c r="G5" s="197"/>
      <c r="H5" s="199"/>
      <c r="I5" s="201"/>
      <c r="J5" s="203"/>
      <c r="K5" s="206"/>
      <c r="L5" s="207"/>
      <c r="M5" s="151" t="s">
        <v>220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209"/>
      <c r="O138" s="209"/>
    </row>
    <row r="139" spans="3:15" ht="15.75">
      <c r="C139" s="120">
        <v>41758</v>
      </c>
      <c r="D139" s="39">
        <v>5440.9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123251.48</v>
      </c>
      <c r="E142" s="80"/>
      <c r="F142" s="100" t="s">
        <v>147</v>
      </c>
      <c r="G142" s="210" t="s">
        <v>149</v>
      </c>
      <c r="H142" s="210"/>
      <c r="I142" s="116">
        <v>109426.25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f>'[1]надх'!$B$52/1000</f>
        <v>19532.48005999999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1" t="s">
        <v>212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187" t="s">
        <v>208</v>
      </c>
      <c r="E3" s="187"/>
      <c r="F3" s="188" t="s">
        <v>107</v>
      </c>
      <c r="G3" s="189"/>
      <c r="H3" s="189"/>
      <c r="I3" s="189"/>
      <c r="J3" s="189"/>
      <c r="K3" s="189"/>
      <c r="L3" s="190"/>
      <c r="M3" s="191" t="s">
        <v>210</v>
      </c>
      <c r="N3" s="193" t="s">
        <v>198</v>
      </c>
      <c r="O3" s="193"/>
      <c r="P3" s="193"/>
      <c r="Q3" s="193"/>
      <c r="R3" s="193"/>
    </row>
    <row r="4" spans="1:18" ht="22.5" customHeight="1">
      <c r="A4" s="183"/>
      <c r="B4" s="185"/>
      <c r="C4" s="186"/>
      <c r="D4" s="187"/>
      <c r="E4" s="187"/>
      <c r="F4" s="194" t="s">
        <v>116</v>
      </c>
      <c r="G4" s="196" t="s">
        <v>207</v>
      </c>
      <c r="H4" s="198" t="s">
        <v>195</v>
      </c>
      <c r="I4" s="200" t="s">
        <v>188</v>
      </c>
      <c r="J4" s="202" t="s">
        <v>189</v>
      </c>
      <c r="K4" s="204" t="s">
        <v>196</v>
      </c>
      <c r="L4" s="205"/>
      <c r="M4" s="192"/>
      <c r="N4" s="175" t="s">
        <v>213</v>
      </c>
      <c r="O4" s="200" t="s">
        <v>136</v>
      </c>
      <c r="P4" s="200" t="s">
        <v>135</v>
      </c>
      <c r="Q4" s="204" t="s">
        <v>197</v>
      </c>
      <c r="R4" s="205"/>
    </row>
    <row r="5" spans="1:18" ht="82.5" customHeight="1">
      <c r="A5" s="184"/>
      <c r="B5" s="185"/>
      <c r="C5" s="186"/>
      <c r="D5" s="150" t="s">
        <v>209</v>
      </c>
      <c r="E5" s="158" t="s">
        <v>214</v>
      </c>
      <c r="F5" s="195"/>
      <c r="G5" s="197"/>
      <c r="H5" s="199"/>
      <c r="I5" s="201"/>
      <c r="J5" s="203"/>
      <c r="K5" s="206"/>
      <c r="L5" s="207"/>
      <c r="M5" s="151" t="s">
        <v>211</v>
      </c>
      <c r="N5" s="176"/>
      <c r="O5" s="201"/>
      <c r="P5" s="201"/>
      <c r="Q5" s="206"/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209"/>
      <c r="O138" s="209"/>
    </row>
    <row r="139" spans="3:15" ht="15.75">
      <c r="C139" s="120">
        <v>41726</v>
      </c>
      <c r="D139" s="39">
        <v>4682.6</v>
      </c>
      <c r="F139" s="4" t="s">
        <v>166</v>
      </c>
      <c r="G139" s="210" t="s">
        <v>151</v>
      </c>
      <c r="H139" s="210"/>
      <c r="I139" s="115">
        <v>13825.22196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114985.02570999999</v>
      </c>
      <c r="E142" s="80"/>
      <c r="F142" s="100" t="s">
        <v>147</v>
      </c>
      <c r="G142" s="210" t="s">
        <v>149</v>
      </c>
      <c r="H142" s="210"/>
      <c r="I142" s="116">
        <v>101159.80375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3918.1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1" t="s">
        <v>193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187</v>
      </c>
      <c r="E3" s="46"/>
      <c r="F3" s="226" t="s">
        <v>107</v>
      </c>
      <c r="G3" s="227"/>
      <c r="H3" s="227"/>
      <c r="I3" s="227"/>
      <c r="J3" s="228"/>
      <c r="K3" s="123"/>
      <c r="L3" s="123"/>
      <c r="M3" s="229" t="s">
        <v>190</v>
      </c>
      <c r="N3" s="220" t="s">
        <v>185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191</v>
      </c>
      <c r="F4" s="221" t="s">
        <v>116</v>
      </c>
      <c r="G4" s="223" t="s">
        <v>167</v>
      </c>
      <c r="H4" s="198" t="s">
        <v>168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29"/>
      <c r="N4" s="175" t="s">
        <v>194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184</v>
      </c>
      <c r="L5" s="207"/>
      <c r="M5" s="229"/>
      <c r="N5" s="176"/>
      <c r="O5" s="219"/>
      <c r="P5" s="220"/>
      <c r="Q5" s="206" t="s">
        <v>199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209"/>
      <c r="O138" s="209"/>
    </row>
    <row r="139" spans="3:15" ht="15.75">
      <c r="C139" s="120">
        <v>41697</v>
      </c>
      <c r="D139" s="39">
        <v>2276.8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f>'[1]залишки  (2)'!$G$8/1000</f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121970.53</v>
      </c>
      <c r="E142" s="80"/>
      <c r="F142" s="100" t="s">
        <v>147</v>
      </c>
      <c r="G142" s="210" t="s">
        <v>149</v>
      </c>
      <c r="H142" s="210"/>
      <c r="I142" s="116">
        <v>108145.31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1" t="s">
        <v>183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26"/>
      <c r="R1" s="127"/>
    </row>
    <row r="2" spans="2:18" s="1" customFormat="1" ht="15.75" customHeight="1">
      <c r="B2" s="182"/>
      <c r="C2" s="182"/>
      <c r="D2" s="18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3"/>
      <c r="B3" s="185"/>
      <c r="C3" s="186" t="s">
        <v>0</v>
      </c>
      <c r="D3" s="225" t="s">
        <v>192</v>
      </c>
      <c r="E3" s="46"/>
      <c r="F3" s="226" t="s">
        <v>107</v>
      </c>
      <c r="G3" s="227"/>
      <c r="H3" s="227"/>
      <c r="I3" s="227"/>
      <c r="J3" s="228"/>
      <c r="K3" s="123"/>
      <c r="L3" s="123"/>
      <c r="M3" s="202" t="s">
        <v>200</v>
      </c>
      <c r="N3" s="220" t="s">
        <v>178</v>
      </c>
      <c r="O3" s="220"/>
      <c r="P3" s="220"/>
      <c r="Q3" s="220"/>
      <c r="R3" s="220"/>
    </row>
    <row r="4" spans="1:18" ht="22.5" customHeight="1">
      <c r="A4" s="183"/>
      <c r="B4" s="185"/>
      <c r="C4" s="186"/>
      <c r="D4" s="225"/>
      <c r="E4" s="230" t="s">
        <v>153</v>
      </c>
      <c r="F4" s="221" t="s">
        <v>116</v>
      </c>
      <c r="G4" s="223" t="s">
        <v>175</v>
      </c>
      <c r="H4" s="198" t="s">
        <v>176</v>
      </c>
      <c r="I4" s="218" t="s">
        <v>188</v>
      </c>
      <c r="J4" s="216" t="s">
        <v>189</v>
      </c>
      <c r="K4" s="125" t="s">
        <v>174</v>
      </c>
      <c r="L4" s="130" t="s">
        <v>173</v>
      </c>
      <c r="M4" s="232"/>
      <c r="N4" s="175" t="s">
        <v>186</v>
      </c>
      <c r="O4" s="218" t="s">
        <v>136</v>
      </c>
      <c r="P4" s="220" t="s">
        <v>135</v>
      </c>
      <c r="Q4" s="131" t="s">
        <v>174</v>
      </c>
      <c r="R4" s="132" t="s">
        <v>173</v>
      </c>
    </row>
    <row r="5" spans="1:18" ht="82.5" customHeight="1">
      <c r="A5" s="184"/>
      <c r="B5" s="185"/>
      <c r="C5" s="186"/>
      <c r="D5" s="225"/>
      <c r="E5" s="231"/>
      <c r="F5" s="222"/>
      <c r="G5" s="224"/>
      <c r="H5" s="199"/>
      <c r="I5" s="219"/>
      <c r="J5" s="217"/>
      <c r="K5" s="206" t="s">
        <v>177</v>
      </c>
      <c r="L5" s="207"/>
      <c r="M5" s="203"/>
      <c r="N5" s="176"/>
      <c r="O5" s="219"/>
      <c r="P5" s="220"/>
      <c r="Q5" s="206" t="s">
        <v>179</v>
      </c>
      <c r="R5" s="207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208"/>
      <c r="H137" s="208"/>
      <c r="I137" s="208"/>
      <c r="J137" s="208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209"/>
      <c r="O138" s="209"/>
    </row>
    <row r="139" spans="3:15" ht="15.75">
      <c r="C139" s="120">
        <v>41669</v>
      </c>
      <c r="D139" s="39">
        <v>4752.2</v>
      </c>
      <c r="F139" s="4" t="s">
        <v>166</v>
      </c>
      <c r="G139" s="210" t="s">
        <v>151</v>
      </c>
      <c r="H139" s="210"/>
      <c r="I139" s="115">
        <v>13825.22</v>
      </c>
      <c r="J139" s="211" t="s">
        <v>161</v>
      </c>
      <c r="K139" s="211"/>
      <c r="L139" s="211"/>
      <c r="M139" s="211"/>
      <c r="N139" s="209"/>
      <c r="O139" s="20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209"/>
      <c r="O140" s="209"/>
    </row>
    <row r="141" spans="7:13" ht="15.75" customHeight="1">
      <c r="G141" s="210" t="s">
        <v>148</v>
      </c>
      <c r="H141" s="210"/>
      <c r="I141" s="112">
        <v>0</v>
      </c>
      <c r="J141" s="211" t="s">
        <v>163</v>
      </c>
      <c r="K141" s="211"/>
      <c r="L141" s="211"/>
      <c r="M141" s="211"/>
    </row>
    <row r="142" spans="2:13" ht="18.75" customHeight="1">
      <c r="B142" s="179" t="s">
        <v>160</v>
      </c>
      <c r="C142" s="180"/>
      <c r="D142" s="117">
        <v>111410.62</v>
      </c>
      <c r="E142" s="80"/>
      <c r="F142" s="100" t="s">
        <v>147</v>
      </c>
      <c r="G142" s="210" t="s">
        <v>149</v>
      </c>
      <c r="H142" s="210"/>
      <c r="I142" s="116">
        <v>97585.4</v>
      </c>
      <c r="J142" s="211" t="s">
        <v>164</v>
      </c>
      <c r="K142" s="211"/>
      <c r="L142" s="211"/>
      <c r="M142" s="211"/>
    </row>
    <row r="143" spans="7:12" ht="9.75" customHeight="1">
      <c r="G143" s="212"/>
      <c r="H143" s="212"/>
      <c r="I143" s="98"/>
      <c r="J143" s="99"/>
      <c r="K143" s="99"/>
      <c r="L143" s="99"/>
    </row>
    <row r="144" spans="2:12" ht="22.5" customHeight="1">
      <c r="B144" s="213" t="s">
        <v>169</v>
      </c>
      <c r="C144" s="214"/>
      <c r="D144" s="119">
        <v>0</v>
      </c>
      <c r="E144" s="77" t="s">
        <v>104</v>
      </c>
      <c r="G144" s="212"/>
      <c r="H144" s="212"/>
      <c r="I144" s="98"/>
      <c r="J144" s="99"/>
      <c r="K144" s="99"/>
      <c r="L144" s="99"/>
    </row>
    <row r="145" spans="4:15" ht="15.75">
      <c r="D145" s="114"/>
      <c r="N145" s="212"/>
      <c r="O145" s="212"/>
    </row>
    <row r="146" spans="4:15" ht="15.75">
      <c r="D146" s="113"/>
      <c r="I146" s="39"/>
      <c r="N146" s="215"/>
      <c r="O146" s="215"/>
    </row>
    <row r="147" spans="14:15" ht="15.75">
      <c r="N147" s="212"/>
      <c r="O147" s="212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2014-09-18T11:03:24Z</cp:lastPrinted>
  <dcterms:created xsi:type="dcterms:W3CDTF">2003-07-28T11:27:56Z</dcterms:created>
  <dcterms:modified xsi:type="dcterms:W3CDTF">2014-09-18T11:22:29Z</dcterms:modified>
  <cp:category/>
  <cp:version/>
  <cp:contentType/>
  <cp:contentStatus/>
</cp:coreProperties>
</file>